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ічень" sheetId="1" r:id="rId1"/>
  </sheets>
  <definedNames>
    <definedName name="_xlnm.Print_Area" localSheetId="0">'січень'!$A$1:$R$87</definedName>
  </definedNames>
  <calcPr fullCalcOnLoad="1"/>
</workbook>
</file>

<file path=xl/sharedStrings.xml><?xml version="1.0" encoding="utf-8"?>
<sst xmlns="http://schemas.openxmlformats.org/spreadsheetml/2006/main" count="123" uniqueCount="117">
  <si>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</si>
  <si>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</si>
  <si>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</si>
  <si>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</si>
  <si>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</si>
  <si>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</si>
  <si>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</si>
  <si>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</si>
  <si>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</si>
  <si>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</si>
  <si>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</si>
  <si>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</si>
  <si>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</si>
  <si>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</si>
  <si>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</si>
  <si>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</si>
  <si>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</si>
  <si>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</si>
  <si>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</si>
  <si>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</si>
  <si>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</si>
  <si>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</si>
  <si>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</si>
  <si>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</si>
  <si>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</si>
  <si>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</si>
  <si>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</si>
  <si>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</si>
  <si>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</si>
  <si>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</si>
  <si>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</si>
  <si>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</si>
  <si>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</si>
  <si>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</si>
  <si>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</si>
  <si>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</si>
  <si>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</si>
  <si>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</si>
  <si>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</si>
  <si>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</si>
  <si>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</si>
  <si>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</si>
  <si>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</si>
  <si>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</si>
  <si>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</si>
  <si>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</si>
  <si>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</si>
  <si>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</si>
  <si>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</si>
  <si>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</si>
  <si>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</si>
  <si>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</si>
  <si>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</si>
  <si>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</si>
  <si>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</si>
  <si>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</si>
  <si>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</si>
  <si>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</si>
  <si>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</si>
  <si>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</si>
  <si>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</si>
  <si>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</si>
  <si>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</si>
  <si>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</si>
  <si>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</si>
  <si>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</si>
  <si>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</si>
  <si>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Динаміка  фактичних надходжень січень 2013 та 2014 років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</si>
  <si>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</si>
  <si>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</si>
  <si>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</si>
  <si>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</si>
  <si>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</si>
  <si>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</si>
  <si>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</si>
  <si>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</si>
  <si>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</si>
  <si>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</si>
  <si>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</si>
  <si>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</si>
  <si>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</si>
  <si>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</si>
  <si>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</si>
  <si>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</si>
  <si>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</si>
  <si>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</si>
  <si>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</si>
  <si>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</si>
  <si>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</si>
  <si>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</si>
  <si>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</si>
  <si>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</si>
  <si>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</si>
  <si>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</si>
  <si>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</si>
  <si>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</si>
  <si>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</si>
  <si>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</si>
  <si>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</si>
  <si>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</si>
  <si>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</si>
  <si>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</si>
  <si>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</si>
  <si>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</si>
  <si>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</si>
  <si>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</si>
  <si>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</si>
  <si>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</si>
  <si>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</si>
  <si>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</si>
  <si>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</si>
  <si>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</si>
  <si>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 2015 рік</t>
    </r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</si>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</sst>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2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7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26" fillId="0" borderId="0">
      <alignment/>
      <protection/>
    </xf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5" borderId="13" xfId="0" applyNumberFormat="1" applyFont="1" applyFill="1" applyBorder="1" applyAlignment="1" applyProtection="1">
      <alignment horizontal="center" vertical="center" wrapText="1"/>
      <protection/>
    </xf>
    <xf numFmtId="182" fontId="25" fillId="35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86" sqref="E8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00390625" style="4" hidden="1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52" t="s">
        <v>116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92"/>
      <c r="R1" s="93"/>
    </row>
    <row r="2" spans="2:18" s="1" customFormat="1" ht="15.75" customHeight="1">
      <c r="B2" s="153"/>
      <c r="C2" s="153"/>
      <c r="D2" s="1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54"/>
      <c r="B3" s="156"/>
      <c r="C3" s="157" t="s">
        <v>0</v>
      </c>
      <c r="D3" s="158" t="s">
        <v>112</v>
      </c>
      <c r="E3" s="34"/>
      <c r="F3" s="159" t="s">
        <v>26</v>
      </c>
      <c r="G3" s="160"/>
      <c r="H3" s="160"/>
      <c r="I3" s="160"/>
      <c r="J3" s="161"/>
      <c r="K3" s="89"/>
      <c r="L3" s="89"/>
      <c r="M3" s="162" t="s">
        <v>108</v>
      </c>
      <c r="N3" s="165" t="s">
        <v>66</v>
      </c>
      <c r="O3" s="165"/>
      <c r="P3" s="165"/>
      <c r="Q3" s="165"/>
      <c r="R3" s="165"/>
    </row>
    <row r="4" spans="1:18" ht="22.5" customHeight="1">
      <c r="A4" s="154"/>
      <c r="B4" s="156"/>
      <c r="C4" s="157"/>
      <c r="D4" s="158"/>
      <c r="E4" s="166" t="s">
        <v>105</v>
      </c>
      <c r="F4" s="168" t="s">
        <v>34</v>
      </c>
      <c r="G4" s="170" t="s">
        <v>110</v>
      </c>
      <c r="H4" s="163" t="s">
        <v>111</v>
      </c>
      <c r="I4" s="170" t="s">
        <v>106</v>
      </c>
      <c r="J4" s="163" t="s">
        <v>107</v>
      </c>
      <c r="K4" s="91" t="s">
        <v>65</v>
      </c>
      <c r="L4" s="96" t="s">
        <v>64</v>
      </c>
      <c r="M4" s="163"/>
      <c r="N4" s="179" t="s">
        <v>104</v>
      </c>
      <c r="O4" s="170" t="s">
        <v>50</v>
      </c>
      <c r="P4" s="174" t="s">
        <v>49</v>
      </c>
      <c r="Q4" s="97" t="s">
        <v>65</v>
      </c>
      <c r="R4" s="98" t="s">
        <v>64</v>
      </c>
    </row>
    <row r="5" spans="1:18" ht="92.25" customHeight="1">
      <c r="A5" s="155"/>
      <c r="B5" s="156"/>
      <c r="C5" s="157"/>
      <c r="D5" s="158"/>
      <c r="E5" s="167"/>
      <c r="F5" s="169"/>
      <c r="G5" s="171"/>
      <c r="H5" s="164"/>
      <c r="I5" s="171"/>
      <c r="J5" s="164"/>
      <c r="K5" s="172" t="s">
        <v>109</v>
      </c>
      <c r="L5" s="173"/>
      <c r="M5" s="164"/>
      <c r="N5" s="180"/>
      <c r="O5" s="171"/>
      <c r="P5" s="174"/>
      <c r="Q5" s="172" t="s">
        <v>67</v>
      </c>
      <c r="R5" s="17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69</v>
      </c>
      <c r="M6" s="10" t="s">
        <v>70</v>
      </c>
      <c r="N6" s="10" t="s">
        <v>71</v>
      </c>
      <c r="O6" s="10" t="s">
        <v>72</v>
      </c>
      <c r="P6" s="10" t="s">
        <v>73</v>
      </c>
      <c r="Q6" s="10" t="s">
        <v>74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">
        <f>F9+F15+F18+F19+F20+F32+F17+F42</f>
        <v>60581.659999999996</v>
      </c>
      <c r="G8" s="15">
        <f aca="true" t="shared" si="0" ref="G8:G15">F8-E8</f>
        <v>8004.439999999995</v>
      </c>
      <c r="H8" s="38">
        <f>F8/E8*100</f>
        <v>115.22415981674192</v>
      </c>
      <c r="I8" s="28">
        <f>F8-D8</f>
        <v>-96419.28999999998</v>
      </c>
      <c r="J8" s="28">
        <f>F8/D8*100</f>
        <v>38.586811098913735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83</v>
      </c>
      <c r="C9" s="48">
        <v>11010000</v>
      </c>
      <c r="D9" s="33">
        <v>80394.55</v>
      </c>
      <c r="E9" s="33">
        <v>27341.52</v>
      </c>
      <c r="F9" s="11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>
        <f>N9-26568.11</f>
        <v>3645.16</v>
      </c>
      <c r="R9" s="107">
        <f>N9/26568.11</f>
        <v>1.1372005761794874</v>
      </c>
    </row>
    <row r="10" spans="1:18" s="6" customFormat="1" ht="15" hidden="1">
      <c r="A10" s="8"/>
      <c r="B10" s="136" t="s">
        <v>94</v>
      </c>
      <c r="C10" s="108">
        <v>11010100</v>
      </c>
      <c r="D10" s="109">
        <v>72484.55</v>
      </c>
      <c r="E10" s="109">
        <v>24361.52</v>
      </c>
      <c r="F10" s="11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F10-310040.1/75*60</f>
        <v>-221148.23999999996</v>
      </c>
      <c r="L10" s="112">
        <f>F10/(310040.1/75*60)*100</f>
        <v>10.838856006045672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 hidden="1">
      <c r="A11" s="8"/>
      <c r="B11" s="136" t="s">
        <v>90</v>
      </c>
      <c r="C11" s="108">
        <v>11010200</v>
      </c>
      <c r="D11" s="109">
        <v>4200</v>
      </c>
      <c r="E11" s="109">
        <v>1500</v>
      </c>
      <c r="F11" s="11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F11-24192.03/75*60</f>
        <v>-16668.683999999997</v>
      </c>
      <c r="L11" s="112">
        <f>F11/(24192.03/75*60)*100</f>
        <v>13.87306067328786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 hidden="1">
      <c r="A12" s="8"/>
      <c r="B12" s="136" t="s">
        <v>93</v>
      </c>
      <c r="C12" s="108">
        <v>11010400</v>
      </c>
      <c r="D12" s="109">
        <v>1220</v>
      </c>
      <c r="E12" s="109">
        <v>650</v>
      </c>
      <c r="F12" s="11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F12-6123.95/75*60</f>
        <v>-4465.55</v>
      </c>
      <c r="L12" s="112">
        <f>F12/(6123.95*60)*100</f>
        <v>0.11800934581982764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 hidden="1">
      <c r="A13" s="8"/>
      <c r="B13" s="136" t="s">
        <v>91</v>
      </c>
      <c r="C13" s="108">
        <v>11010500</v>
      </c>
      <c r="D13" s="109">
        <v>690</v>
      </c>
      <c r="E13" s="109">
        <v>230</v>
      </c>
      <c r="F13" s="11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F13-8694.58/75*60</f>
        <v>-6745.824</v>
      </c>
      <c r="L13" s="112">
        <f>F13/(8694.58/75*60)*100</f>
        <v>3.0168219741494124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 hidden="1">
      <c r="A14" s="8"/>
      <c r="B14" s="136" t="s">
        <v>92</v>
      </c>
      <c r="C14" s="108">
        <v>11010900</v>
      </c>
      <c r="D14" s="109">
        <v>1800</v>
      </c>
      <c r="E14" s="109">
        <v>600</v>
      </c>
      <c r="F14" s="11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F14-146.72/75*60</f>
        <v>-116.33599999999998</v>
      </c>
      <c r="L14" s="112">
        <f>F14/(146.72/75*60)*100</f>
        <v>0.886041439476554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>
        <f>N15-358.81</f>
        <v>-358.81</v>
      </c>
      <c r="R15" s="100">
        <f>N15/358.81</f>
        <v>0</v>
      </c>
    </row>
    <row r="16" spans="1:18" s="6" customFormat="1" ht="15" hidden="1">
      <c r="A16" s="8"/>
      <c r="B16" s="55" t="s">
        <v>68</v>
      </c>
      <c r="C16" s="108">
        <v>11010232</v>
      </c>
      <c r="D16" s="109">
        <v>0</v>
      </c>
      <c r="E16" s="109">
        <v>0</v>
      </c>
      <c r="F16" s="11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89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76</v>
      </c>
      <c r="C18" s="48">
        <v>13030200</v>
      </c>
      <c r="D18" s="33">
        <v>0</v>
      </c>
      <c r="E18" s="33">
        <v>0</v>
      </c>
      <c r="F18" s="11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75</v>
      </c>
      <c r="C19" s="48">
        <v>14040000</v>
      </c>
      <c r="D19" s="36">
        <v>21100</v>
      </c>
      <c r="E19" s="36">
        <v>7000</v>
      </c>
      <c r="F19" s="125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77</v>
      </c>
      <c r="C20" s="48">
        <v>18000000</v>
      </c>
      <c r="D20" s="36">
        <f>D21+D25+D27</f>
        <v>53373.5</v>
      </c>
      <c r="E20" s="36">
        <f>E21+E25+E27</f>
        <v>18234.5</v>
      </c>
      <c r="F20" s="126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85</v>
      </c>
      <c r="C21" s="127">
        <v>18010000</v>
      </c>
      <c r="D21" s="36">
        <f>D22+D23+D24</f>
        <v>32530</v>
      </c>
      <c r="E21" s="36">
        <f>E22+E23+E24</f>
        <v>9720</v>
      </c>
      <c r="F21" s="126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78</v>
      </c>
      <c r="C22" s="138"/>
      <c r="D22" s="109">
        <f>320+378+2002+600</f>
        <v>3300</v>
      </c>
      <c r="E22" s="109">
        <f>45+4+1+200</f>
        <v>250</v>
      </c>
      <c r="F22" s="11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79</v>
      </c>
      <c r="C23" s="138"/>
      <c r="D23" s="109">
        <f>30+30</f>
        <v>60</v>
      </c>
      <c r="E23" s="109">
        <f>10+10</f>
        <v>20</v>
      </c>
      <c r="F23" s="11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80</v>
      </c>
      <c r="C24" s="138"/>
      <c r="D24" s="109">
        <f>7700+17200+170+4100</f>
        <v>29170</v>
      </c>
      <c r="E24" s="109">
        <f>2500+5600+50+1300</f>
        <v>9450</v>
      </c>
      <c r="F24" s="11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86</v>
      </c>
      <c r="C25" s="127">
        <v>18030000</v>
      </c>
      <c r="D25" s="36">
        <v>36</v>
      </c>
      <c r="E25" s="36">
        <v>12</v>
      </c>
      <c r="F25" s="125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87</v>
      </c>
      <c r="C26" s="127">
        <v>18040000</v>
      </c>
      <c r="D26" s="36"/>
      <c r="E26" s="36"/>
      <c r="F26" s="125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88</v>
      </c>
      <c r="C27" s="127">
        <v>18050000</v>
      </c>
      <c r="D27" s="36">
        <v>20807.5</v>
      </c>
      <c r="E27" s="36">
        <v>8502.5</v>
      </c>
      <c r="F27" s="125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 hidden="1">
      <c r="A28" s="8"/>
      <c r="B28" s="55" t="s">
        <v>95</v>
      </c>
      <c r="C28" s="108">
        <v>18050200</v>
      </c>
      <c r="D28" s="109">
        <v>0</v>
      </c>
      <c r="E28" s="109">
        <v>0</v>
      </c>
      <c r="F28" s="118">
        <v>0</v>
      </c>
      <c r="G28" s="36">
        <f t="shared" si="10"/>
        <v>0</v>
      </c>
      <c r="H28" s="32" t="e">
        <f t="shared" si="1"/>
        <v>#DIV/0!</v>
      </c>
      <c r="I28" s="42">
        <f t="shared" si="2"/>
        <v>0</v>
      </c>
      <c r="J28" s="42" t="e">
        <f t="shared" si="3"/>
        <v>#DIV/0!</v>
      </c>
      <c r="K28" s="113">
        <f>F28-1.21</f>
        <v>-1.21</v>
      </c>
      <c r="L28" s="113">
        <f>F28/1.21*100</f>
        <v>0</v>
      </c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 hidden="1">
      <c r="A29" s="8"/>
      <c r="B29" s="55" t="s">
        <v>96</v>
      </c>
      <c r="C29" s="108">
        <v>18050300</v>
      </c>
      <c r="D29" s="109">
        <v>5800</v>
      </c>
      <c r="E29" s="109">
        <v>2500</v>
      </c>
      <c r="F29" s="11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13">
        <f>F29-22211.27</f>
        <v>-20055.3</v>
      </c>
      <c r="L29" s="113">
        <f>F29/22211.27*100</f>
        <v>9.706648921921168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 hidden="1">
      <c r="A30" s="8"/>
      <c r="B30" s="55" t="s">
        <v>97</v>
      </c>
      <c r="C30" s="108">
        <v>18050400</v>
      </c>
      <c r="D30" s="109">
        <v>15000</v>
      </c>
      <c r="E30" s="109">
        <v>6000</v>
      </c>
      <c r="F30" s="11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13">
        <f>F30-57105.32</f>
        <v>-46368.979999999996</v>
      </c>
      <c r="L30" s="113">
        <f>F30/57105.32*100</f>
        <v>18.8009453409945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 hidden="1">
      <c r="A31" s="8"/>
      <c r="B31" s="55" t="s">
        <v>98</v>
      </c>
      <c r="C31" s="108">
        <v>18050500</v>
      </c>
      <c r="D31" s="109">
        <v>7.5</v>
      </c>
      <c r="E31" s="109">
        <v>2.5</v>
      </c>
      <c r="F31" s="11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13">
        <f>F31-0</f>
        <v>3.19</v>
      </c>
      <c r="L31" s="113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25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</f>
        <v>6959.3</v>
      </c>
      <c r="E33" s="15">
        <f>E34+E35+E36+E37+E38+E44+E45+E50+E51+E55+E41+E39+E54</f>
        <v>2316.1</v>
      </c>
      <c r="F33" s="15">
        <f>F34+F35+F36+F37+F38+F44+F45+F50+F51+F55+F41+F39+F54</f>
        <v>2029.94</v>
      </c>
      <c r="G33" s="37">
        <f>F33-E33</f>
        <v>-286.15999999999985</v>
      </c>
      <c r="H33" s="38">
        <f>F33/E33*100</f>
        <v>87.64474763611244</v>
      </c>
      <c r="I33" s="28">
        <f>F33-D33</f>
        <v>-4929.360000000001</v>
      </c>
      <c r="J33" s="28">
        <f>F33/D33*100</f>
        <v>29.16873823516733</v>
      </c>
      <c r="K33" s="15">
        <f>K34+K35+K36+K37+K38+K44+K45+K50+K51+K55+K41</f>
        <v>1007.56</v>
      </c>
      <c r="L33" s="15"/>
      <c r="M33" s="15">
        <f>M34+M35+M36+M37+M38+M44+M45+M50+M51+M55+M41+M39</f>
        <v>2316.1</v>
      </c>
      <c r="N33" s="15">
        <f>N34+N35+N36+N37+N38+N44+N45+N50+N51+N55+N41+N39</f>
        <v>2029.94</v>
      </c>
      <c r="O33" s="15">
        <f>N33/M33*100</f>
        <v>87.64474763611244</v>
      </c>
      <c r="P33" s="15">
        <f>N33/M33*100</f>
        <v>87.64474763611244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103</v>
      </c>
      <c r="C34" s="48">
        <v>21010301</v>
      </c>
      <c r="D34" s="33">
        <v>11</v>
      </c>
      <c r="E34" s="33">
        <v>0</v>
      </c>
      <c r="F34" s="11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>
        <f>N34-0</f>
        <v>4.71</v>
      </c>
      <c r="R34" s="100" t="e">
        <f>N34/0</f>
        <v>#DIV/0!</v>
      </c>
    </row>
    <row r="35" spans="1:18" s="6" customFormat="1" ht="30.75">
      <c r="A35" s="8"/>
      <c r="B35" s="144" t="s">
        <v>81</v>
      </c>
      <c r="C35" s="47">
        <v>21050000</v>
      </c>
      <c r="D35" s="33">
        <v>0</v>
      </c>
      <c r="E35" s="33">
        <v>0</v>
      </c>
      <c r="F35" s="11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>
        <f>N35-0</f>
        <v>0</v>
      </c>
      <c r="R35" s="100" t="e">
        <f>N35/0</f>
        <v>#DIV/0!</v>
      </c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1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>
        <f>N36-4.23</f>
        <v>13.61</v>
      </c>
      <c r="R36" s="100">
        <f>N36/4.23</f>
        <v>4.217494089834515</v>
      </c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1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>
        <f>N37-0</f>
        <v>0</v>
      </c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1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>
        <f>N38-9.02</f>
        <v>-15.42</v>
      </c>
      <c r="R38" s="100">
        <f>N38/9.02</f>
        <v>-0.7095343680709535</v>
      </c>
    </row>
    <row r="39" spans="1:18" s="6" customFormat="1" ht="46.5" hidden="1">
      <c r="A39" s="8"/>
      <c r="B39" s="145" t="s">
        <v>84</v>
      </c>
      <c r="C39" s="54">
        <v>21081500</v>
      </c>
      <c r="D39" s="33">
        <v>0</v>
      </c>
      <c r="E39" s="33"/>
      <c r="F39" s="11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1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82</v>
      </c>
      <c r="C41" s="77">
        <v>22012500</v>
      </c>
      <c r="D41" s="33">
        <v>2250</v>
      </c>
      <c r="E41" s="33">
        <v>750</v>
      </c>
      <c r="F41" s="11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113</v>
      </c>
      <c r="C42" s="77">
        <v>22012600</v>
      </c>
      <c r="D42" s="33">
        <v>0</v>
      </c>
      <c r="E42" s="33">
        <v>0</v>
      </c>
      <c r="F42" s="11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1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1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>
        <f>N44-647.49</f>
        <v>68.74000000000001</v>
      </c>
      <c r="R44" s="100">
        <f>N44/647.49</f>
        <v>1.1061638017575561</v>
      </c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1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>
        <f>N45-79.51</f>
        <v>328.69</v>
      </c>
      <c r="R45" s="100">
        <f>N45/79.51</f>
        <v>5.1339454156709845</v>
      </c>
    </row>
    <row r="46" spans="1:18" s="6" customFormat="1" ht="15" hidden="1">
      <c r="A46" s="8"/>
      <c r="B46" s="55" t="s">
        <v>102</v>
      </c>
      <c r="C46" s="138">
        <v>22090100</v>
      </c>
      <c r="D46" s="109">
        <v>165</v>
      </c>
      <c r="E46" s="109">
        <v>55</v>
      </c>
      <c r="F46" s="11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F46-857.86</f>
        <v>-831.87</v>
      </c>
      <c r="L46" s="110">
        <f>F46/857.86*100</f>
        <v>3.0296318746648634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 hidden="1">
      <c r="A47" s="8"/>
      <c r="B47" s="55" t="s">
        <v>99</v>
      </c>
      <c r="C47" s="138">
        <v>22090200</v>
      </c>
      <c r="D47" s="109">
        <v>3</v>
      </c>
      <c r="E47" s="109">
        <v>1</v>
      </c>
      <c r="F47" s="11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 hidden="1">
      <c r="A48" s="8"/>
      <c r="B48" s="55" t="s">
        <v>100</v>
      </c>
      <c r="C48" s="138">
        <v>22090300</v>
      </c>
      <c r="D48" s="109">
        <v>0.3</v>
      </c>
      <c r="E48" s="109">
        <v>0.1</v>
      </c>
      <c r="F48" s="11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 hidden="1">
      <c r="A49" s="8"/>
      <c r="B49" s="55" t="s">
        <v>101</v>
      </c>
      <c r="C49" s="138">
        <v>22090400</v>
      </c>
      <c r="D49" s="109">
        <v>1350</v>
      </c>
      <c r="E49" s="109">
        <v>450</v>
      </c>
      <c r="F49" s="11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F49-117.58</f>
        <v>264.59000000000003</v>
      </c>
      <c r="L49" s="110">
        <f>F49/117.58*100</f>
        <v>325.02976696717127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1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>
        <f>N50-0</f>
        <v>0.17</v>
      </c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1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F51/3812.69*100</f>
        <v>8.340043381444598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>
        <f>N51-277.38</f>
        <v>40.60000000000002</v>
      </c>
      <c r="R51" s="100">
        <f>N51/277.38</f>
        <v>1.1463696012690172</v>
      </c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1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18">
        <v>70.2</v>
      </c>
      <c r="G53" s="36">
        <f t="shared" si="11"/>
        <v>70.2</v>
      </c>
      <c r="H53" s="32"/>
      <c r="I53" s="42">
        <f t="shared" si="12"/>
        <v>70.2</v>
      </c>
      <c r="J53" s="42"/>
      <c r="K53" s="112">
        <f>F53-82.7</f>
        <v>-12.5</v>
      </c>
      <c r="L53" s="112">
        <f>F53/82.7*100</f>
        <v>84.8851269649335</v>
      </c>
      <c r="M53" s="32">
        <f t="shared" si="13"/>
        <v>0</v>
      </c>
      <c r="N53" s="32">
        <f t="shared" si="14"/>
        <v>70.2</v>
      </c>
      <c r="O53" s="40">
        <f t="shared" si="15"/>
        <v>70.2</v>
      </c>
      <c r="P53" s="42"/>
      <c r="Q53" s="42">
        <f>N53-64.93</f>
        <v>5.269999999999996</v>
      </c>
      <c r="R53" s="100">
        <f>N53/64.93</f>
        <v>1.0811643308178036</v>
      </c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1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</v>
      </c>
      <c r="E56" s="33">
        <v>1</v>
      </c>
      <c r="F56" s="11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1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62611.57</v>
      </c>
      <c r="O58" s="41">
        <f>N58-M58</f>
        <v>7717.25</v>
      </c>
      <c r="P58" s="28">
        <f>N58/M58*100</f>
        <v>114.0583761671517</v>
      </c>
      <c r="Q58" s="28">
        <f>N58-34768</f>
        <v>27843.57</v>
      </c>
      <c r="R58" s="128">
        <f>N58/34768</f>
        <v>1.8008389898757478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114</v>
      </c>
      <c r="C63" s="150">
        <v>12020000</v>
      </c>
      <c r="D63" s="25">
        <v>0</v>
      </c>
      <c r="E63" s="25">
        <v>0</v>
      </c>
      <c r="F63" s="120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20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>
        <f>N64-24.53</f>
        <v>-24.8</v>
      </c>
      <c r="R64" s="103">
        <f>N64/24.53</f>
        <v>-0.0110069302894415</v>
      </c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>
        <f>N65-92.85</f>
        <v>-84.36999999999999</v>
      </c>
      <c r="R65" s="104">
        <f>N65/92.85</f>
        <v>0.09133010231556274</v>
      </c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20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>
        <f>N67-0.04</f>
        <v>0.019999999999999997</v>
      </c>
      <c r="R67" s="103">
        <f>N67/0.04</f>
        <v>1.5</v>
      </c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20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>
        <f>N68-450.01</f>
        <v>-427.09999999999997</v>
      </c>
      <c r="R68" s="103">
        <f>N68/450.01</f>
        <v>0.05090997977822715</v>
      </c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20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>
        <f>N69-1.05</f>
        <v>281.8</v>
      </c>
      <c r="R69" s="103">
        <f>N69/1.05</f>
        <v>269.3809523809524</v>
      </c>
    </row>
    <row r="70" spans="2:18" ht="15">
      <c r="B70" s="23" t="s">
        <v>115</v>
      </c>
      <c r="C70" s="78">
        <v>24110700</v>
      </c>
      <c r="D70" s="25">
        <v>0</v>
      </c>
      <c r="E70" s="25">
        <v>0</v>
      </c>
      <c r="F70" s="120">
        <v>1</v>
      </c>
      <c r="G70" s="36">
        <f t="shared" si="19"/>
        <v>1</v>
      </c>
      <c r="H70" s="32"/>
      <c r="I70" s="43">
        <f t="shared" si="20"/>
        <v>1</v>
      </c>
      <c r="J70" s="43"/>
      <c r="K70" s="43"/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19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</f>
        <v>62.14000000000004</v>
      </c>
      <c r="L71" s="44">
        <f>F71/243.68*100</f>
        <v>125.91103086014448</v>
      </c>
      <c r="M71" s="45">
        <f>M67+M68+M69</f>
        <v>0</v>
      </c>
      <c r="N71" s="45">
        <f>N67+N68+N69</f>
        <v>305.82000000000005</v>
      </c>
      <c r="O71" s="44">
        <f t="shared" si="21"/>
        <v>305.82000000000005</v>
      </c>
      <c r="P71" s="44"/>
      <c r="Q71" s="44">
        <f>N71-7985.28</f>
        <v>-7679.46</v>
      </c>
      <c r="R71" s="129">
        <f>N71/7985.28</f>
        <v>0.03829796826160135</v>
      </c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20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>
        <f>F72/35.01*100</f>
        <v>0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>
        <f>N72-0.16</f>
        <v>-0.16</v>
      </c>
      <c r="R72" s="103">
        <f>N72/0.16</f>
        <v>0</v>
      </c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>
        <f>F73/19.48*100</f>
        <v>0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>
        <f>N73-8.76</f>
        <v>-8.76</v>
      </c>
      <c r="R73" s="105">
        <f>N73/8.76</f>
        <v>0</v>
      </c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20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>
        <f>N74-(-0.21)</f>
        <v>0.32999999999999996</v>
      </c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19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>
        <f>N75-26.38</f>
        <v>-26.259999999999998</v>
      </c>
      <c r="R75" s="102">
        <f>N75/26.38</f>
        <v>0.004548900682335102</v>
      </c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20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>
        <f>N76-0.45</f>
        <v>-0.10000000000000003</v>
      </c>
      <c r="R76" s="103">
        <f>N76/0.45</f>
        <v>0.7777777777777777</v>
      </c>
    </row>
    <row r="77" spans="2:18" ht="15" hidden="1">
      <c r="B77" s="137"/>
      <c r="C77" s="48"/>
      <c r="D77" s="25"/>
      <c r="E77" s="25"/>
      <c r="F77" s="120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24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57.18000000000004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314.77000000000004</v>
      </c>
      <c r="O78" s="28">
        <f t="shared" si="21"/>
        <v>314.77000000000004</v>
      </c>
      <c r="P78" s="28"/>
      <c r="Q78" s="28">
        <f>N78-8104.96</f>
        <v>-7790.19</v>
      </c>
      <c r="R78" s="101">
        <f>N78/8104.96</f>
        <v>0.03883671233417562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24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23930.239999999998</v>
      </c>
      <c r="L79" s="28">
        <f>F79/38987.36*100</f>
        <v>161.4071073291446</v>
      </c>
      <c r="M79" s="15">
        <f>M58+M78</f>
        <v>54894.32</v>
      </c>
      <c r="N79" s="15">
        <f>N58+N78</f>
        <v>62926.34</v>
      </c>
      <c r="O79" s="28">
        <f t="shared" si="21"/>
        <v>8032.019999999997</v>
      </c>
      <c r="P79" s="28">
        <f>N79/M79*100</f>
        <v>114.63178704099076</v>
      </c>
      <c r="Q79" s="28">
        <f>N79-42872.96</f>
        <v>20053.379999999997</v>
      </c>
      <c r="R79" s="101">
        <f>N79/42872.96</f>
        <v>1.467739572914956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175"/>
      <c r="H82" s="175"/>
      <c r="I82" s="175"/>
      <c r="J82" s="175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176"/>
      <c r="O83" s="176"/>
    </row>
    <row r="84" spans="3:15" ht="15">
      <c r="C84" s="87">
        <v>42397</v>
      </c>
      <c r="D84" s="31">
        <v>8685</v>
      </c>
      <c r="F84" s="124" t="s">
        <v>59</v>
      </c>
      <c r="G84" s="177"/>
      <c r="H84" s="177"/>
      <c r="I84" s="131"/>
      <c r="J84" s="178"/>
      <c r="K84" s="178"/>
      <c r="L84" s="178"/>
      <c r="M84" s="178"/>
      <c r="N84" s="176"/>
      <c r="O84" s="176"/>
    </row>
    <row r="85" spans="3:15" ht="15.75" customHeight="1">
      <c r="C85" s="87">
        <v>42396</v>
      </c>
      <c r="D85" s="31">
        <v>4820.3</v>
      </c>
      <c r="F85" s="73"/>
      <c r="G85" s="177"/>
      <c r="H85" s="177"/>
      <c r="I85" s="131"/>
      <c r="J85" s="181"/>
      <c r="K85" s="181"/>
      <c r="L85" s="181"/>
      <c r="M85" s="181"/>
      <c r="N85" s="176"/>
      <c r="O85" s="176"/>
    </row>
    <row r="86" spans="3:13" ht="15.75" customHeight="1">
      <c r="C86" s="87"/>
      <c r="F86" s="73"/>
      <c r="G86" s="182"/>
      <c r="H86" s="182"/>
      <c r="I86" s="139"/>
      <c r="J86" s="178"/>
      <c r="K86" s="178"/>
      <c r="L86" s="178"/>
      <c r="M86" s="178"/>
    </row>
    <row r="87" spans="2:13" ht="18.75" customHeight="1">
      <c r="B87" s="183" t="s">
        <v>57</v>
      </c>
      <c r="C87" s="184"/>
      <c r="D87" s="148">
        <v>300.91717</v>
      </c>
      <c r="E87" s="74"/>
      <c r="F87" s="140"/>
      <c r="G87" s="177"/>
      <c r="H87" s="177"/>
      <c r="I87" s="141"/>
      <c r="J87" s="178"/>
      <c r="K87" s="178"/>
      <c r="L87" s="178"/>
      <c r="M87" s="178"/>
    </row>
    <row r="88" spans="6:12" ht="9.75" customHeight="1">
      <c r="F88" s="73"/>
      <c r="G88" s="177"/>
      <c r="H88" s="177"/>
      <c r="I88" s="73"/>
      <c r="J88" s="74"/>
      <c r="K88" s="74"/>
      <c r="L88" s="74"/>
    </row>
    <row r="89" spans="2:12" ht="22.5" customHeight="1" hidden="1">
      <c r="B89" s="185" t="s">
        <v>60</v>
      </c>
      <c r="C89" s="186"/>
      <c r="D89" s="86">
        <v>0</v>
      </c>
      <c r="E89" s="56" t="s">
        <v>24</v>
      </c>
      <c r="F89" s="73"/>
      <c r="G89" s="177"/>
      <c r="H89" s="177"/>
      <c r="I89" s="73"/>
      <c r="J89" s="74"/>
      <c r="K89" s="74"/>
      <c r="L89" s="74"/>
    </row>
    <row r="90" spans="4:15" ht="15">
      <c r="D90" s="84"/>
      <c r="F90" s="73"/>
      <c r="G90" s="74"/>
      <c r="H90" s="74"/>
      <c r="I90" s="74"/>
      <c r="N90" s="177"/>
      <c r="O90" s="177"/>
    </row>
    <row r="91" spans="4:15" ht="15">
      <c r="D91" s="83"/>
      <c r="I91" s="31"/>
      <c r="N91" s="187"/>
      <c r="O91" s="187"/>
    </row>
    <row r="92" spans="14:15" ht="15">
      <c r="N92" s="177"/>
      <c r="O92" s="177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24" bottom="0.39" header="0.18" footer="0.29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2016-01-29T09:13:42Z</cp:lastPrinted>
  <dcterms:created xsi:type="dcterms:W3CDTF">2003-07-28T11:27:56Z</dcterms:created>
  <dcterms:modified xsi:type="dcterms:W3CDTF">2016-02-01T10:16:49Z</dcterms:modified>
  <cp:category/>
  <cp:version/>
  <cp:contentType/>
  <cp:contentStatus/>
</cp:coreProperties>
</file>